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shine/Dropbox/"/>
    </mc:Choice>
  </mc:AlternateContent>
  <bookViews>
    <workbookView xWindow="1040" yWindow="460" windowWidth="25920" windowHeight="16760"/>
  </bookViews>
  <sheets>
    <sheet name="Owned" sheetId="2" r:id="rId1"/>
  </sheets>
  <definedNames>
    <definedName name="_xlnm.Print_Area" localSheetId="0">Owned!$A$1:$Q$31</definedName>
    <definedName name="_xlnm.Print_Titles" localSheetId="0">Owned!$C:$C,Owned!$3:$3</definedName>
    <definedName name="TOTSFHOUSE">Owned!$E$31</definedName>
    <definedName name="TOTSFLAND">Owned!$F$31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1" i="2" l="1"/>
  <c r="E37" i="2"/>
  <c r="E36" i="2"/>
  <c r="E3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4" i="2"/>
  <c r="E48" i="2"/>
  <c r="M15" i="2"/>
  <c r="F15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L31" i="2"/>
  <c r="O31" i="2"/>
  <c r="E38" i="2"/>
  <c r="K31" i="2"/>
  <c r="E34" i="2"/>
  <c r="E40" i="2"/>
  <c r="E42" i="2"/>
  <c r="M28" i="2"/>
  <c r="E43" i="2"/>
  <c r="E50" i="2"/>
  <c r="E52" i="2"/>
  <c r="E49" i="2"/>
  <c r="E51" i="2"/>
  <c r="F50" i="2"/>
  <c r="E31" i="2"/>
  <c r="E44" i="2"/>
  <c r="E47" i="2"/>
  <c r="E46" i="2"/>
  <c r="E41" i="2"/>
  <c r="M26" i="2"/>
  <c r="M27" i="2"/>
  <c r="M29" i="2"/>
  <c r="F29" i="2"/>
  <c r="F26" i="2"/>
  <c r="M25" i="2"/>
  <c r="F25" i="2"/>
  <c r="M5" i="2"/>
  <c r="M6" i="2"/>
  <c r="M7" i="2"/>
  <c r="M8" i="2"/>
  <c r="M9" i="2"/>
  <c r="M10" i="2"/>
  <c r="M11" i="2"/>
  <c r="M12" i="2"/>
  <c r="M13" i="2"/>
  <c r="M14" i="2"/>
  <c r="M16" i="2"/>
  <c r="M17" i="2"/>
  <c r="M18" i="2"/>
  <c r="M19" i="2"/>
  <c r="M20" i="2"/>
  <c r="M21" i="2"/>
  <c r="M22" i="2"/>
  <c r="M23" i="2"/>
  <c r="M24" i="2"/>
  <c r="M30" i="2"/>
  <c r="M31" i="2"/>
  <c r="M4" i="2"/>
  <c r="I31" i="2"/>
  <c r="H31" i="2"/>
  <c r="F11" i="2"/>
  <c r="F9" i="2"/>
  <c r="F4" i="2"/>
  <c r="F5" i="2"/>
  <c r="F6" i="2"/>
  <c r="F7" i="2"/>
  <c r="F8" i="2"/>
  <c r="F12" i="2"/>
  <c r="F13" i="2"/>
  <c r="F14" i="2"/>
  <c r="F16" i="2"/>
  <c r="F17" i="2"/>
  <c r="F18" i="2"/>
  <c r="F19" i="2"/>
  <c r="F22" i="2"/>
  <c r="F24" i="2"/>
  <c r="F30" i="2"/>
  <c r="F31" i="2"/>
</calcChain>
</file>

<file path=xl/sharedStrings.xml><?xml version="1.0" encoding="utf-8"?>
<sst xmlns="http://schemas.openxmlformats.org/spreadsheetml/2006/main" count="152" uniqueCount="72">
  <si>
    <t>SF</t>
  </si>
  <si>
    <t>2216 27 St S</t>
  </si>
  <si>
    <t>811 18th Ave S</t>
  </si>
  <si>
    <t>1615 39th St S</t>
  </si>
  <si>
    <t>1244 20th Ave South</t>
  </si>
  <si>
    <t>805 19th Avenue</t>
  </si>
  <si>
    <t xml:space="preserve"> </t>
  </si>
  <si>
    <t>BR</t>
  </si>
  <si>
    <t>BA</t>
  </si>
  <si>
    <t>G</t>
  </si>
  <si>
    <t>#</t>
  </si>
  <si>
    <t>Street</t>
  </si>
  <si>
    <t>2351 25th</t>
  </si>
  <si>
    <t>G/D</t>
  </si>
  <si>
    <t>D</t>
  </si>
  <si>
    <t>4418 Queensboro</t>
  </si>
  <si>
    <t>Status</t>
  </si>
  <si>
    <t>Rented</t>
  </si>
  <si>
    <t>Market Rent</t>
  </si>
  <si>
    <t>2912 62nd Avenue North</t>
  </si>
  <si>
    <t>2410 3rd Avenue South</t>
  </si>
  <si>
    <t>651 13th Avenue South</t>
  </si>
  <si>
    <t>1134 38th Avenue North</t>
  </si>
  <si>
    <t>2800 Dartmouth Ave N House</t>
  </si>
  <si>
    <t>2800 Dartmouth Ave N 1BR</t>
  </si>
  <si>
    <t>2800 Dartmouth Ave N 2 BR C</t>
  </si>
  <si>
    <t xml:space="preserve">D </t>
  </si>
  <si>
    <t>771 14th Avenue South</t>
  </si>
  <si>
    <t>833 11th St North (back)</t>
  </si>
  <si>
    <t>833 11th St North (front)</t>
  </si>
  <si>
    <t>Property Taxes</t>
  </si>
  <si>
    <t>Land SF</t>
  </si>
  <si>
    <t>1744 27th avenue North</t>
  </si>
  <si>
    <t>Rehab Date</t>
  </si>
  <si>
    <t>Totals</t>
  </si>
  <si>
    <t>Lease/SF</t>
  </si>
  <si>
    <t>1947 47TH ST S S</t>
  </si>
  <si>
    <t>2840 2nd Ave S (apt)</t>
  </si>
  <si>
    <t>2840 2nd Ave S (house)</t>
  </si>
  <si>
    <t>3G</t>
  </si>
  <si>
    <t>2G</t>
  </si>
  <si>
    <t>Net Revenue</t>
  </si>
  <si>
    <t>Property Insurance</t>
  </si>
  <si>
    <t>Maintenance 5%</t>
  </si>
  <si>
    <t>Expenses</t>
  </si>
  <si>
    <t>NOI</t>
  </si>
  <si>
    <t>Value at 8 Cap</t>
  </si>
  <si>
    <t>Price/SF</t>
  </si>
  <si>
    <t xml:space="preserve">Price   </t>
  </si>
  <si>
    <t>Cap Rate</t>
  </si>
  <si>
    <t>Net Income</t>
  </si>
  <si>
    <t>Cash on Cash w/financing</t>
  </si>
  <si>
    <t>DSCR</t>
  </si>
  <si>
    <t>Financing 75% (30 year, 6%)</t>
  </si>
  <si>
    <t>Equity</t>
  </si>
  <si>
    <t>Annual cost of financing 75% (30 year, 6%)</t>
  </si>
  <si>
    <t>3327 19th Street N</t>
  </si>
  <si>
    <t>Vacancy and Concessions</t>
  </si>
  <si>
    <t>Gross Market Revenue</t>
  </si>
  <si>
    <t xml:space="preserve">2733 2nd Ave S </t>
  </si>
  <si>
    <t>2627 15th Avenue South</t>
  </si>
  <si>
    <t>Management $500/month</t>
  </si>
  <si>
    <t xml:space="preserve">Zillow Value </t>
  </si>
  <si>
    <t>No Zillow</t>
  </si>
  <si>
    <t>2852 60th Avenue N</t>
  </si>
  <si>
    <t>NO</t>
  </si>
  <si>
    <t>C</t>
  </si>
  <si>
    <t>E</t>
  </si>
  <si>
    <t>B</t>
  </si>
  <si>
    <t>EZ</t>
  </si>
  <si>
    <t>(FINANCING EXAMPLE is for ILLUSTRATIVE PURPOSES ONLY AND NOT AN OFFER)</t>
  </si>
  <si>
    <t>4635 20th Avenue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</si>
</sst>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9" applyNumberFormat="0" applyAlignment="0" applyProtection="0"/>
    <xf numFmtId="0" fontId="5" fillId="28" borderId="1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9" applyNumberFormat="0" applyAlignment="0" applyProtection="0"/>
    <xf numFmtId="0" fontId="12" fillId="0" borderId="14" applyNumberFormat="0" applyFill="0" applyAlignment="0" applyProtection="0"/>
    <xf numFmtId="0" fontId="13" fillId="31" borderId="0" applyNumberFormat="0" applyBorder="0" applyAlignment="0" applyProtection="0"/>
    <xf numFmtId="0" fontId="1" fillId="32" borderId="15" applyNumberFormat="0" applyFont="0" applyAlignment="0" applyProtection="0"/>
    <xf numFmtId="0" fontId="14" fillId="27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16" fillId="0" borderId="0" xfId="0" applyFont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4" fontId="20" fillId="0" borderId="2" xfId="29" applyFont="1" applyBorder="1"/>
    <xf numFmtId="0" fontId="20" fillId="0" borderId="2" xfId="0" applyFont="1" applyFill="1" applyBorder="1"/>
    <xf numFmtId="44" fontId="20" fillId="0" borderId="2" xfId="29" applyFont="1" applyFill="1" applyBorder="1"/>
    <xf numFmtId="3" fontId="20" fillId="0" borderId="2" xfId="0" applyNumberFormat="1" applyFont="1" applyBorder="1"/>
    <xf numFmtId="44" fontId="20" fillId="0" borderId="0" xfId="29" applyFont="1" applyBorder="1"/>
    <xf numFmtId="0" fontId="18" fillId="0" borderId="0" xfId="0" applyNumberFormat="1" applyFont="1"/>
    <xf numFmtId="0" fontId="20" fillId="0" borderId="2" xfId="0" applyNumberFormat="1" applyFont="1" applyBorder="1"/>
    <xf numFmtId="0" fontId="20" fillId="0" borderId="2" xfId="0" applyNumberFormat="1" applyFont="1" applyFill="1" applyBorder="1"/>
    <xf numFmtId="0" fontId="0" fillId="0" borderId="0" xfId="0" applyNumberFormat="1"/>
    <xf numFmtId="0" fontId="20" fillId="0" borderId="18" xfId="0" applyNumberFormat="1" applyFont="1" applyBorder="1"/>
    <xf numFmtId="44" fontId="20" fillId="0" borderId="18" xfId="29" applyFont="1" applyFill="1" applyBorder="1"/>
    <xf numFmtId="0" fontId="19" fillId="0" borderId="19" xfId="0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Fill="1" applyBorder="1"/>
    <xf numFmtId="0" fontId="20" fillId="0" borderId="7" xfId="0" applyFont="1" applyBorder="1"/>
    <xf numFmtId="0" fontId="20" fillId="0" borderId="4" xfId="0" applyNumberFormat="1" applyFont="1" applyBorder="1" applyAlignment="1"/>
    <xf numFmtId="44" fontId="20" fillId="0" borderId="5" xfId="0" applyNumberFormat="1" applyFont="1" applyBorder="1"/>
    <xf numFmtId="0" fontId="20" fillId="0" borderId="1" xfId="0" applyNumberFormat="1" applyFont="1" applyBorder="1" applyAlignment="1"/>
    <xf numFmtId="44" fontId="20" fillId="0" borderId="6" xfId="0" applyNumberFormat="1" applyFont="1" applyBorder="1"/>
    <xf numFmtId="44" fontId="0" fillId="0" borderId="6" xfId="0" applyNumberFormat="1" applyBorder="1"/>
    <xf numFmtId="44" fontId="0" fillId="0" borderId="8" xfId="0" applyNumberFormat="1" applyBorder="1"/>
    <xf numFmtId="0" fontId="20" fillId="0" borderId="20" xfId="0" applyNumberFormat="1" applyFont="1" applyBorder="1" applyAlignment="1"/>
    <xf numFmtId="44" fontId="0" fillId="0" borderId="21" xfId="0" applyNumberFormat="1" applyBorder="1"/>
    <xf numFmtId="44" fontId="0" fillId="0" borderId="5" xfId="0" applyNumberFormat="1" applyBorder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10" fontId="0" fillId="0" borderId="21" xfId="0" applyNumberFormat="1" applyBorder="1"/>
    <xf numFmtId="0" fontId="20" fillId="0" borderId="4" xfId="0" applyNumberFormat="1" applyFont="1" applyFill="1" applyBorder="1" applyAlignment="1"/>
    <xf numFmtId="0" fontId="20" fillId="0" borderId="1" xfId="0" applyNumberFormat="1" applyFont="1" applyFill="1" applyBorder="1" applyAlignment="1"/>
    <xf numFmtId="8" fontId="0" fillId="0" borderId="6" xfId="0" applyNumberFormat="1" applyBorder="1"/>
    <xf numFmtId="10" fontId="0" fillId="0" borderId="6" xfId="0" applyNumberFormat="1" applyBorder="1"/>
    <xf numFmtId="0" fontId="20" fillId="0" borderId="7" xfId="0" applyNumberFormat="1" applyFont="1" applyFill="1" applyBorder="1" applyAlignment="1"/>
    <xf numFmtId="0" fontId="20" fillId="0" borderId="22" xfId="0" applyNumberFormat="1" applyFont="1" applyFill="1" applyBorder="1" applyAlignment="1"/>
    <xf numFmtId="44" fontId="0" fillId="0" borderId="23" xfId="0" applyNumberFormat="1" applyBorder="1"/>
    <xf numFmtId="0" fontId="18" fillId="0" borderId="24" xfId="0" applyFont="1" applyBorder="1" applyAlignment="1">
      <alignment horizontal="center"/>
    </xf>
    <xf numFmtId="0" fontId="20" fillId="0" borderId="25" xfId="0" applyFont="1" applyBorder="1"/>
    <xf numFmtId="164" fontId="20" fillId="0" borderId="25" xfId="28" applyNumberFormat="1" applyFont="1" applyBorder="1"/>
    <xf numFmtId="0" fontId="20" fillId="0" borderId="25" xfId="0" applyNumberFormat="1" applyFont="1" applyBorder="1"/>
    <xf numFmtId="3" fontId="20" fillId="0" borderId="25" xfId="0" applyNumberFormat="1" applyFont="1" applyBorder="1"/>
    <xf numFmtId="0" fontId="20" fillId="0" borderId="25" xfId="0" applyFont="1" applyFill="1" applyBorder="1"/>
    <xf numFmtId="44" fontId="20" fillId="0" borderId="25" xfId="0" applyNumberFormat="1" applyFont="1" applyBorder="1" applyAlignment="1">
      <alignment horizontal="center"/>
    </xf>
    <xf numFmtId="44" fontId="20" fillId="0" borderId="25" xfId="29" applyFont="1" applyBorder="1"/>
    <xf numFmtId="44" fontId="20" fillId="0" borderId="25" xfId="29" applyFont="1" applyFill="1" applyBorder="1"/>
    <xf numFmtId="44" fontId="20" fillId="0" borderId="26" xfId="29" applyFont="1" applyBorder="1"/>
    <xf numFmtId="44" fontId="0" fillId="0" borderId="0" xfId="0" applyNumberFormat="1"/>
    <xf numFmtId="0" fontId="21" fillId="33" borderId="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3" fontId="20" fillId="0" borderId="18" xfId="0" applyNumberFormat="1" applyFont="1" applyBorder="1"/>
    <xf numFmtId="0" fontId="20" fillId="0" borderId="18" xfId="0" applyFont="1" applyFill="1" applyBorder="1"/>
    <xf numFmtId="0" fontId="20" fillId="0" borderId="18" xfId="0" applyFont="1" applyBorder="1" applyAlignment="1">
      <alignment horizontal="center"/>
    </xf>
    <xf numFmtId="44" fontId="20" fillId="0" borderId="18" xfId="29" applyFont="1" applyBorder="1"/>
    <xf numFmtId="0" fontId="19" fillId="0" borderId="29" xfId="0" applyFont="1" applyBorder="1" applyAlignment="1">
      <alignment horizontal="center"/>
    </xf>
    <xf numFmtId="0" fontId="20" fillId="0" borderId="22" xfId="0" applyFont="1" applyBorder="1"/>
    <xf numFmtId="0" fontId="20" fillId="0" borderId="30" xfId="0" applyFont="1" applyBorder="1"/>
    <xf numFmtId="0" fontId="20" fillId="0" borderId="30" xfId="0" applyNumberFormat="1" applyFont="1" applyBorder="1"/>
    <xf numFmtId="0" fontId="20" fillId="0" borderId="30" xfId="0" applyFont="1" applyBorder="1" applyAlignment="1">
      <alignment horizontal="center"/>
    </xf>
    <xf numFmtId="44" fontId="20" fillId="0" borderId="30" xfId="29" applyFont="1" applyBorder="1"/>
    <xf numFmtId="0" fontId="19" fillId="33" borderId="24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21" fillId="33" borderId="25" xfId="0" applyNumberFormat="1" applyFont="1" applyFill="1" applyBorder="1" applyAlignment="1">
      <alignment horizontal="center"/>
    </xf>
    <xf numFmtId="44" fontId="21" fillId="33" borderId="26" xfId="29" applyFont="1" applyFill="1" applyBorder="1"/>
    <xf numFmtId="44" fontId="20" fillId="0" borderId="31" xfId="29" applyFont="1" applyFill="1" applyBorder="1"/>
    <xf numFmtId="44" fontId="20" fillId="0" borderId="32" xfId="29" applyFont="1" applyFill="1" applyBorder="1"/>
    <xf numFmtId="44" fontId="20" fillId="0" borderId="32" xfId="29" applyFont="1" applyBorder="1"/>
    <xf numFmtId="8" fontId="20" fillId="0" borderId="32" xfId="29" applyNumberFormat="1" applyFont="1" applyFill="1" applyBorder="1"/>
    <xf numFmtId="44" fontId="20" fillId="0" borderId="33" xfId="29" applyFont="1" applyFill="1" applyBorder="1"/>
    <xf numFmtId="44" fontId="0" fillId="0" borderId="28" xfId="0" applyNumberFormat="1" applyBorder="1"/>
    <xf numFmtId="44" fontId="1" fillId="0" borderId="34" xfId="29" applyFont="1" applyBorder="1"/>
    <xf numFmtId="44" fontId="1" fillId="0" borderId="35" xfId="29" applyFont="1" applyBorder="1"/>
    <xf numFmtId="44" fontId="1" fillId="0" borderId="35" xfId="29" applyFont="1" applyFill="1" applyBorder="1"/>
    <xf numFmtId="44" fontId="0" fillId="0" borderId="35" xfId="29" applyFont="1" applyBorder="1"/>
    <xf numFmtId="44" fontId="1" fillId="0" borderId="36" xfId="29" applyFont="1" applyBorder="1"/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40" xfId="0" applyNumberFormat="1" applyFont="1" applyBorder="1" applyAlignment="1">
      <alignment horizontal="center"/>
    </xf>
    <xf numFmtId="0" fontId="20" fillId="0" borderId="41" xfId="0" applyNumberFormat="1" applyFont="1" applyBorder="1" applyAlignment="1">
      <alignment horizontal="center"/>
    </xf>
    <xf numFmtId="0" fontId="20" fillId="0" borderId="42" xfId="0" applyNumberFormat="1" applyFont="1" applyBorder="1" applyAlignment="1">
      <alignment horizontal="center"/>
    </xf>
    <xf numFmtId="0" fontId="20" fillId="0" borderId="40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41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16" zoomScaleNormal="115" zoomScalePageLayoutView="115" workbookViewId="0">
      <selection activeCell="T15" sqref="T15"/>
    </sheetView>
  </sheetViews>
  <sheetFormatPr baseColWidth="10" defaultColWidth="8.83203125" defaultRowHeight="16" x14ac:dyDescent="0.2"/>
  <cols>
    <col min="1" max="1" width="2.6640625" customWidth="1"/>
    <col min="2" max="2" width="4.83203125" style="3" customWidth="1"/>
    <col min="3" max="3" width="41.1640625" customWidth="1"/>
    <col min="4" max="4" width="7.1640625" style="3" customWidth="1"/>
    <col min="5" max="5" width="16.6640625" customWidth="1"/>
    <col min="6" max="6" width="14.6640625" style="4" customWidth="1"/>
    <col min="7" max="7" width="14.33203125" style="17" customWidth="1"/>
    <col min="8" max="9" width="4.83203125" customWidth="1"/>
    <col min="10" max="10" width="5.33203125" customWidth="1"/>
    <col min="11" max="13" width="18" style="3" customWidth="1"/>
    <col min="14" max="14" width="9" style="3" customWidth="1"/>
    <col min="15" max="15" width="17.33203125" customWidth="1"/>
    <col min="16" max="16" width="17.33203125" style="13" customWidth="1"/>
    <col min="17" max="17" width="8.83203125" style="5"/>
  </cols>
  <sheetData>
    <row r="1" spans="1:17" x14ac:dyDescent="0.2">
      <c r="B1" s="2"/>
      <c r="C1" s="1"/>
      <c r="D1" s="2"/>
      <c r="E1" s="1" t="s">
        <v>6</v>
      </c>
      <c r="F1" s="1"/>
      <c r="G1" s="14"/>
      <c r="H1" s="1"/>
      <c r="I1" s="1"/>
      <c r="J1" s="1"/>
      <c r="K1" s="2"/>
      <c r="L1" s="2"/>
      <c r="M1" s="2"/>
      <c r="N1" s="2"/>
      <c r="O1" s="1"/>
    </row>
    <row r="2" spans="1:17" ht="17" thickBot="1" x14ac:dyDescent="0.25">
      <c r="B2" s="2"/>
      <c r="C2" s="1"/>
      <c r="D2" s="2"/>
      <c r="E2" s="1"/>
      <c r="F2" s="1"/>
      <c r="G2" s="14"/>
      <c r="H2" s="1"/>
      <c r="I2" s="1"/>
      <c r="J2" s="1"/>
      <c r="K2" s="2"/>
      <c r="L2" s="2"/>
      <c r="M2" s="2"/>
      <c r="N2" s="1"/>
      <c r="O2" s="13"/>
      <c r="P2" s="5"/>
      <c r="Q2"/>
    </row>
    <row r="3" spans="1:17" ht="17" thickBot="1" x14ac:dyDescent="0.25">
      <c r="A3" s="4"/>
      <c r="B3" s="66" t="s">
        <v>10</v>
      </c>
      <c r="C3" s="67" t="s">
        <v>11</v>
      </c>
      <c r="D3" s="67" t="s">
        <v>69</v>
      </c>
      <c r="E3" s="67" t="s">
        <v>0</v>
      </c>
      <c r="F3" s="67" t="s">
        <v>31</v>
      </c>
      <c r="G3" s="68" t="s">
        <v>33</v>
      </c>
      <c r="H3" s="67" t="s">
        <v>7</v>
      </c>
      <c r="I3" s="67" t="s">
        <v>8</v>
      </c>
      <c r="J3" s="67" t="s">
        <v>13</v>
      </c>
      <c r="K3" s="67" t="s">
        <v>18</v>
      </c>
      <c r="L3" s="67" t="s">
        <v>17</v>
      </c>
      <c r="M3" s="67" t="s">
        <v>35</v>
      </c>
      <c r="N3" s="67" t="s">
        <v>16</v>
      </c>
      <c r="O3" s="69" t="s">
        <v>30</v>
      </c>
      <c r="P3" s="54" t="s">
        <v>62</v>
      </c>
      <c r="Q3"/>
    </row>
    <row r="4" spans="1:17" x14ac:dyDescent="0.2">
      <c r="A4" s="4"/>
      <c r="B4" s="60">
        <v>1</v>
      </c>
      <c r="C4" s="61" t="s">
        <v>1</v>
      </c>
      <c r="D4" s="81" t="s">
        <v>65</v>
      </c>
      <c r="E4" s="62">
        <v>1592</v>
      </c>
      <c r="F4" s="62">
        <f>50*100</f>
        <v>5000</v>
      </c>
      <c r="G4" s="63">
        <v>2010</v>
      </c>
      <c r="H4" s="62">
        <v>4</v>
      </c>
      <c r="I4" s="62">
        <v>2</v>
      </c>
      <c r="J4" s="64" t="s">
        <v>14</v>
      </c>
      <c r="K4" s="65">
        <f>L4</f>
        <v>1275</v>
      </c>
      <c r="L4" s="65">
        <v>1275</v>
      </c>
      <c r="M4" s="65">
        <f t="shared" ref="M4:M31" si="0">L4/E4</f>
        <v>0.80087939698492461</v>
      </c>
      <c r="N4" s="65" t="s">
        <v>17</v>
      </c>
      <c r="O4" s="70">
        <v>769</v>
      </c>
      <c r="P4" s="76">
        <v>132870</v>
      </c>
      <c r="Q4"/>
    </row>
    <row r="5" spans="1:17" x14ac:dyDescent="0.2">
      <c r="A5" s="4"/>
      <c r="B5" s="20">
        <f t="shared" ref="B5:B30" si="1">B4+1</f>
        <v>2</v>
      </c>
      <c r="C5" s="21" t="s">
        <v>2</v>
      </c>
      <c r="D5" s="82" t="s">
        <v>65</v>
      </c>
      <c r="E5" s="7">
        <v>1792</v>
      </c>
      <c r="F5" s="7">
        <f>68*115</f>
        <v>7820</v>
      </c>
      <c r="G5" s="15">
        <v>2010</v>
      </c>
      <c r="H5" s="7">
        <v>4</v>
      </c>
      <c r="I5" s="7">
        <v>2</v>
      </c>
      <c r="J5" s="8" t="s">
        <v>14</v>
      </c>
      <c r="K5" s="65">
        <f t="shared" ref="K5:K30" si="2">L5</f>
        <v>1100</v>
      </c>
      <c r="L5" s="9">
        <v>1100</v>
      </c>
      <c r="M5" s="9">
        <f t="shared" si="0"/>
        <v>0.6138392857142857</v>
      </c>
      <c r="N5" s="9" t="s">
        <v>17</v>
      </c>
      <c r="O5" s="71">
        <v>420</v>
      </c>
      <c r="P5" s="77">
        <v>148317</v>
      </c>
      <c r="Q5"/>
    </row>
    <row r="6" spans="1:17" x14ac:dyDescent="0.2">
      <c r="A6" s="4"/>
      <c r="B6" s="20">
        <f t="shared" si="1"/>
        <v>3</v>
      </c>
      <c r="C6" s="21" t="s">
        <v>3</v>
      </c>
      <c r="D6" s="82" t="s">
        <v>65</v>
      </c>
      <c r="E6" s="7">
        <v>1218</v>
      </c>
      <c r="F6" s="7">
        <f>(12*90)+(50*129)</f>
        <v>7530</v>
      </c>
      <c r="G6" s="15">
        <v>2010</v>
      </c>
      <c r="H6" s="7">
        <v>3</v>
      </c>
      <c r="I6" s="7">
        <v>2</v>
      </c>
      <c r="J6" s="8" t="s">
        <v>9</v>
      </c>
      <c r="K6" s="65">
        <f t="shared" si="2"/>
        <v>1065</v>
      </c>
      <c r="L6" s="9">
        <v>1065</v>
      </c>
      <c r="M6" s="9">
        <f t="shared" si="0"/>
        <v>0.87438423645320196</v>
      </c>
      <c r="N6" s="9" t="s">
        <v>17</v>
      </c>
      <c r="O6" s="71">
        <v>838</v>
      </c>
      <c r="P6" s="78">
        <v>76163</v>
      </c>
      <c r="Q6"/>
    </row>
    <row r="7" spans="1:17" s="6" customFormat="1" x14ac:dyDescent="0.2">
      <c r="B7" s="20">
        <f t="shared" si="1"/>
        <v>4</v>
      </c>
      <c r="C7" s="21" t="s">
        <v>71</v>
      </c>
      <c r="D7" s="82" t="s">
        <v>67</v>
      </c>
      <c r="E7" s="7">
        <v>805</v>
      </c>
      <c r="F7" s="7">
        <f>45*125</f>
        <v>5625</v>
      </c>
      <c r="G7" s="15">
        <v>2009</v>
      </c>
      <c r="H7" s="7">
        <v>3</v>
      </c>
      <c r="I7" s="7">
        <v>1</v>
      </c>
      <c r="J7" s="8" t="s">
        <v>14</v>
      </c>
      <c r="K7" s="65">
        <f t="shared" si="2"/>
        <v>750</v>
      </c>
      <c r="L7" s="9">
        <v>750</v>
      </c>
      <c r="M7" s="9">
        <f t="shared" si="0"/>
        <v>0.93167701863354035</v>
      </c>
      <c r="N7" s="9" t="s">
        <v>17</v>
      </c>
      <c r="O7" s="72">
        <v>473</v>
      </c>
      <c r="P7" s="77">
        <v>79052</v>
      </c>
    </row>
    <row r="8" spans="1:17" x14ac:dyDescent="0.2">
      <c r="A8" s="4"/>
      <c r="B8" s="20">
        <f t="shared" si="1"/>
        <v>5</v>
      </c>
      <c r="C8" s="21" t="s">
        <v>4</v>
      </c>
      <c r="D8" s="82" t="s">
        <v>65</v>
      </c>
      <c r="E8" s="7">
        <v>1425</v>
      </c>
      <c r="F8" s="7">
        <f>49*130</f>
        <v>6370</v>
      </c>
      <c r="G8" s="15">
        <v>2009</v>
      </c>
      <c r="H8" s="7">
        <v>3</v>
      </c>
      <c r="I8" s="7">
        <v>1</v>
      </c>
      <c r="J8" s="8" t="s">
        <v>14</v>
      </c>
      <c r="K8" s="65">
        <f t="shared" si="2"/>
        <v>1100</v>
      </c>
      <c r="L8" s="9">
        <v>1100</v>
      </c>
      <c r="M8" s="9">
        <f t="shared" si="0"/>
        <v>0.77192982456140347</v>
      </c>
      <c r="N8" s="9" t="s">
        <v>17</v>
      </c>
      <c r="O8" s="72">
        <v>343</v>
      </c>
      <c r="P8" s="77">
        <v>86672</v>
      </c>
      <c r="Q8"/>
    </row>
    <row r="9" spans="1:17" x14ac:dyDescent="0.2">
      <c r="A9" s="4"/>
      <c r="B9" s="20">
        <f t="shared" si="1"/>
        <v>6</v>
      </c>
      <c r="C9" s="21" t="s">
        <v>5</v>
      </c>
      <c r="D9" s="82" t="s">
        <v>68</v>
      </c>
      <c r="E9" s="7">
        <v>2000</v>
      </c>
      <c r="F9" s="7">
        <f>40*125</f>
        <v>5000</v>
      </c>
      <c r="G9" s="15">
        <v>2009</v>
      </c>
      <c r="H9" s="7">
        <v>4</v>
      </c>
      <c r="I9" s="7">
        <v>2</v>
      </c>
      <c r="J9" s="8" t="s">
        <v>9</v>
      </c>
      <c r="K9" s="65">
        <f t="shared" si="2"/>
        <v>1085</v>
      </c>
      <c r="L9" s="9">
        <v>1085</v>
      </c>
      <c r="M9" s="9">
        <f t="shared" si="0"/>
        <v>0.54249999999999998</v>
      </c>
      <c r="N9" s="9" t="s">
        <v>17</v>
      </c>
      <c r="O9" s="72">
        <v>1211</v>
      </c>
      <c r="P9" s="77">
        <v>93000</v>
      </c>
      <c r="Q9"/>
    </row>
    <row r="10" spans="1:17" s="4" customFormat="1" x14ac:dyDescent="0.2">
      <c r="B10" s="20">
        <f t="shared" si="1"/>
        <v>7</v>
      </c>
      <c r="C10" s="21" t="s">
        <v>5</v>
      </c>
      <c r="D10" s="82" t="s">
        <v>68</v>
      </c>
      <c r="E10" s="7">
        <v>800</v>
      </c>
      <c r="F10" s="7" t="s">
        <v>6</v>
      </c>
      <c r="G10" s="15">
        <v>2009</v>
      </c>
      <c r="H10" s="7">
        <v>2</v>
      </c>
      <c r="I10" s="7">
        <v>1</v>
      </c>
      <c r="J10" s="8" t="s">
        <v>9</v>
      </c>
      <c r="K10" s="65">
        <f t="shared" si="2"/>
        <v>800</v>
      </c>
      <c r="L10" s="9">
        <v>800</v>
      </c>
      <c r="M10" s="9">
        <f t="shared" si="0"/>
        <v>1</v>
      </c>
      <c r="N10" s="9" t="s">
        <v>17</v>
      </c>
      <c r="O10" s="72">
        <v>0</v>
      </c>
      <c r="P10" s="77">
        <v>0</v>
      </c>
    </row>
    <row r="11" spans="1:17" x14ac:dyDescent="0.2">
      <c r="B11" s="20">
        <f t="shared" si="1"/>
        <v>8</v>
      </c>
      <c r="C11" s="22" t="s">
        <v>12</v>
      </c>
      <c r="D11" s="83" t="s">
        <v>14</v>
      </c>
      <c r="E11" s="10">
        <v>1088</v>
      </c>
      <c r="F11" s="10">
        <f>50*108</f>
        <v>5400</v>
      </c>
      <c r="G11" s="16">
        <v>2010</v>
      </c>
      <c r="H11" s="10">
        <v>3</v>
      </c>
      <c r="I11" s="10">
        <v>1</v>
      </c>
      <c r="J11" s="8" t="s">
        <v>14</v>
      </c>
      <c r="K11" s="65">
        <f t="shared" si="2"/>
        <v>1000</v>
      </c>
      <c r="L11" s="11">
        <v>1000</v>
      </c>
      <c r="M11" s="9">
        <f t="shared" si="0"/>
        <v>0.91911764705882348</v>
      </c>
      <c r="N11" s="9" t="s">
        <v>17</v>
      </c>
      <c r="O11" s="72">
        <v>476</v>
      </c>
      <c r="P11" s="77">
        <v>83394</v>
      </c>
      <c r="Q11"/>
    </row>
    <row r="12" spans="1:17" x14ac:dyDescent="0.2">
      <c r="B12" s="20">
        <f t="shared" si="1"/>
        <v>9</v>
      </c>
      <c r="C12" s="22" t="s">
        <v>15</v>
      </c>
      <c r="D12" s="83" t="s">
        <v>67</v>
      </c>
      <c r="E12" s="7">
        <v>1272</v>
      </c>
      <c r="F12" s="7">
        <f>45*115</f>
        <v>5175</v>
      </c>
      <c r="G12" s="15">
        <v>2011</v>
      </c>
      <c r="H12" s="10">
        <v>4</v>
      </c>
      <c r="I12" s="10">
        <v>2</v>
      </c>
      <c r="J12" s="8" t="s">
        <v>14</v>
      </c>
      <c r="K12" s="65">
        <f t="shared" si="2"/>
        <v>1100</v>
      </c>
      <c r="L12" s="11">
        <v>1100</v>
      </c>
      <c r="M12" s="9">
        <f t="shared" si="0"/>
        <v>0.86477987421383651</v>
      </c>
      <c r="N12" s="9" t="s">
        <v>17</v>
      </c>
      <c r="O12" s="71">
        <v>785</v>
      </c>
      <c r="P12" s="77">
        <v>77564</v>
      </c>
      <c r="Q12"/>
    </row>
    <row r="13" spans="1:17" s="4" customFormat="1" x14ac:dyDescent="0.2">
      <c r="B13" s="20">
        <f t="shared" si="1"/>
        <v>10</v>
      </c>
      <c r="C13" s="22" t="s">
        <v>19</v>
      </c>
      <c r="D13" s="83" t="s">
        <v>67</v>
      </c>
      <c r="E13" s="7">
        <v>1347</v>
      </c>
      <c r="F13" s="7">
        <f>50*102</f>
        <v>5100</v>
      </c>
      <c r="G13" s="15">
        <v>2012</v>
      </c>
      <c r="H13" s="10">
        <v>3</v>
      </c>
      <c r="I13" s="10">
        <v>2</v>
      </c>
      <c r="J13" s="8" t="s">
        <v>14</v>
      </c>
      <c r="K13" s="65">
        <f t="shared" si="2"/>
        <v>1300</v>
      </c>
      <c r="L13" s="11">
        <v>1300</v>
      </c>
      <c r="M13" s="9">
        <f t="shared" si="0"/>
        <v>0.96510764662212323</v>
      </c>
      <c r="N13" s="9" t="s">
        <v>17</v>
      </c>
      <c r="O13" s="71">
        <v>1332</v>
      </c>
      <c r="P13" s="77">
        <v>121747</v>
      </c>
    </row>
    <row r="14" spans="1:17" s="6" customFormat="1" x14ac:dyDescent="0.2">
      <c r="B14" s="20">
        <f t="shared" si="1"/>
        <v>11</v>
      </c>
      <c r="C14" s="21" t="s">
        <v>20</v>
      </c>
      <c r="D14" s="82" t="s">
        <v>65</v>
      </c>
      <c r="E14" s="7">
        <v>1323</v>
      </c>
      <c r="F14" s="7">
        <f>50*127</f>
        <v>6350</v>
      </c>
      <c r="G14" s="15">
        <v>2012</v>
      </c>
      <c r="H14" s="10">
        <v>3</v>
      </c>
      <c r="I14" s="10">
        <v>2</v>
      </c>
      <c r="J14" s="8" t="s">
        <v>14</v>
      </c>
      <c r="K14" s="65">
        <f t="shared" si="2"/>
        <v>1075</v>
      </c>
      <c r="L14" s="11">
        <v>1075</v>
      </c>
      <c r="M14" s="9">
        <f t="shared" si="0"/>
        <v>0.81254724111866972</v>
      </c>
      <c r="N14" s="9" t="s">
        <v>17</v>
      </c>
      <c r="O14" s="72">
        <v>845</v>
      </c>
      <c r="P14" s="77">
        <v>154872</v>
      </c>
    </row>
    <row r="15" spans="1:17" s="6" customFormat="1" x14ac:dyDescent="0.2">
      <c r="B15" s="20">
        <f t="shared" si="1"/>
        <v>12</v>
      </c>
      <c r="C15" s="21" t="s">
        <v>60</v>
      </c>
      <c r="D15" s="82" t="s">
        <v>65</v>
      </c>
      <c r="E15" s="7">
        <v>1761</v>
      </c>
      <c r="F15" s="7">
        <f>45*127</f>
        <v>5715</v>
      </c>
      <c r="G15" s="15">
        <v>2013</v>
      </c>
      <c r="H15" s="10">
        <v>4</v>
      </c>
      <c r="I15" s="10">
        <v>2</v>
      </c>
      <c r="J15" s="8" t="s">
        <v>14</v>
      </c>
      <c r="K15" s="65">
        <f t="shared" si="2"/>
        <v>1135</v>
      </c>
      <c r="L15" s="11">
        <v>1135</v>
      </c>
      <c r="M15" s="9">
        <f t="shared" si="0"/>
        <v>0.6445201590005678</v>
      </c>
      <c r="N15" s="9" t="s">
        <v>17</v>
      </c>
      <c r="O15" s="72">
        <v>944.02</v>
      </c>
      <c r="P15" s="77">
        <v>134811</v>
      </c>
    </row>
    <row r="16" spans="1:17" x14ac:dyDescent="0.2">
      <c r="B16" s="20">
        <f t="shared" si="1"/>
        <v>13</v>
      </c>
      <c r="C16" s="21" t="s">
        <v>27</v>
      </c>
      <c r="D16" s="82" t="s">
        <v>65</v>
      </c>
      <c r="E16" s="12">
        <v>1256</v>
      </c>
      <c r="F16" s="12">
        <f>45*73</f>
        <v>3285</v>
      </c>
      <c r="G16" s="15">
        <v>2011</v>
      </c>
      <c r="H16" s="10">
        <v>4</v>
      </c>
      <c r="I16" s="10">
        <v>2</v>
      </c>
      <c r="J16" s="8" t="s">
        <v>14</v>
      </c>
      <c r="K16" s="65">
        <f t="shared" si="2"/>
        <v>1170</v>
      </c>
      <c r="L16" s="11">
        <v>1170</v>
      </c>
      <c r="M16" s="9">
        <f t="shared" si="0"/>
        <v>0.93152866242038213</v>
      </c>
      <c r="N16" s="9" t="s">
        <v>17</v>
      </c>
      <c r="O16" s="71">
        <v>454</v>
      </c>
      <c r="P16" s="77">
        <v>111375</v>
      </c>
      <c r="Q16"/>
    </row>
    <row r="17" spans="2:17" s="4" customFormat="1" x14ac:dyDescent="0.2">
      <c r="B17" s="20">
        <f t="shared" si="1"/>
        <v>14</v>
      </c>
      <c r="C17" s="21" t="s">
        <v>21</v>
      </c>
      <c r="D17" s="82" t="s">
        <v>66</v>
      </c>
      <c r="E17" s="12">
        <v>1287</v>
      </c>
      <c r="F17" s="12">
        <f>50*97</f>
        <v>4850</v>
      </c>
      <c r="G17" s="15">
        <v>2012</v>
      </c>
      <c r="H17" s="10">
        <v>3</v>
      </c>
      <c r="I17" s="10">
        <v>2</v>
      </c>
      <c r="J17" s="8" t="s">
        <v>14</v>
      </c>
      <c r="K17" s="65">
        <f t="shared" si="2"/>
        <v>1200</v>
      </c>
      <c r="L17" s="11">
        <v>1200</v>
      </c>
      <c r="M17" s="9">
        <f t="shared" si="0"/>
        <v>0.93240093240093236</v>
      </c>
      <c r="N17" s="9" t="s">
        <v>17</v>
      </c>
      <c r="O17" s="72">
        <v>626</v>
      </c>
      <c r="P17" s="77">
        <v>93966</v>
      </c>
    </row>
    <row r="18" spans="2:17" s="4" customFormat="1" x14ac:dyDescent="0.2">
      <c r="B18" s="20">
        <f t="shared" si="1"/>
        <v>15</v>
      </c>
      <c r="C18" s="21" t="s">
        <v>22</v>
      </c>
      <c r="D18" s="82" t="s">
        <v>65</v>
      </c>
      <c r="E18" s="12">
        <v>2032</v>
      </c>
      <c r="F18" s="12">
        <f>75*109</f>
        <v>8175</v>
      </c>
      <c r="G18" s="15">
        <v>2009</v>
      </c>
      <c r="H18" s="10">
        <v>4</v>
      </c>
      <c r="I18" s="10">
        <v>2</v>
      </c>
      <c r="J18" s="8" t="s">
        <v>26</v>
      </c>
      <c r="K18" s="65">
        <f t="shared" si="2"/>
        <v>1650</v>
      </c>
      <c r="L18" s="11">
        <v>1650</v>
      </c>
      <c r="M18" s="9">
        <f t="shared" si="0"/>
        <v>0.81200787401574803</v>
      </c>
      <c r="N18" s="9" t="s">
        <v>17</v>
      </c>
      <c r="O18" s="71">
        <v>1756</v>
      </c>
      <c r="P18" s="77">
        <v>305713</v>
      </c>
    </row>
    <row r="19" spans="2:17" s="4" customFormat="1" x14ac:dyDescent="0.2">
      <c r="B19" s="20">
        <f t="shared" si="1"/>
        <v>16</v>
      </c>
      <c r="C19" s="21" t="s">
        <v>23</v>
      </c>
      <c r="D19" s="82" t="s">
        <v>65</v>
      </c>
      <c r="E19" s="12">
        <v>2200</v>
      </c>
      <c r="F19" s="12">
        <f>97*127</f>
        <v>12319</v>
      </c>
      <c r="G19" s="15">
        <v>2011</v>
      </c>
      <c r="H19" s="10">
        <v>3</v>
      </c>
      <c r="I19" s="10">
        <v>2</v>
      </c>
      <c r="J19" s="8" t="s">
        <v>9</v>
      </c>
      <c r="K19" s="65">
        <f t="shared" si="2"/>
        <v>1575</v>
      </c>
      <c r="L19" s="11">
        <v>1575</v>
      </c>
      <c r="M19" s="9">
        <f t="shared" si="0"/>
        <v>0.71590909090909094</v>
      </c>
      <c r="N19" s="9" t="s">
        <v>17</v>
      </c>
      <c r="O19" s="71">
        <v>3358</v>
      </c>
      <c r="P19" s="77">
        <v>363165</v>
      </c>
      <c r="Q19" s="4" t="s">
        <v>63</v>
      </c>
    </row>
    <row r="20" spans="2:17" s="4" customFormat="1" x14ac:dyDescent="0.2">
      <c r="B20" s="20">
        <f t="shared" si="1"/>
        <v>17</v>
      </c>
      <c r="C20" s="21" t="s">
        <v>24</v>
      </c>
      <c r="D20" s="82" t="s">
        <v>65</v>
      </c>
      <c r="E20" s="12">
        <v>629</v>
      </c>
      <c r="F20" s="12"/>
      <c r="G20" s="15">
        <v>2011</v>
      </c>
      <c r="H20" s="10">
        <v>1</v>
      </c>
      <c r="I20" s="10">
        <v>1</v>
      </c>
      <c r="J20" s="8" t="s">
        <v>14</v>
      </c>
      <c r="K20" s="65">
        <f t="shared" si="2"/>
        <v>795</v>
      </c>
      <c r="L20" s="11">
        <v>795</v>
      </c>
      <c r="M20" s="9">
        <f t="shared" si="0"/>
        <v>1.2639109697933226</v>
      </c>
      <c r="N20" s="9" t="s">
        <v>17</v>
      </c>
      <c r="O20" s="72">
        <v>0</v>
      </c>
      <c r="P20" s="77">
        <v>0</v>
      </c>
    </row>
    <row r="21" spans="2:17" s="4" customFormat="1" x14ac:dyDescent="0.2">
      <c r="B21" s="20">
        <f t="shared" si="1"/>
        <v>18</v>
      </c>
      <c r="C21" s="21" t="s">
        <v>25</v>
      </c>
      <c r="D21" s="82" t="s">
        <v>65</v>
      </c>
      <c r="E21" s="12">
        <v>638</v>
      </c>
      <c r="F21" s="12"/>
      <c r="G21" s="15">
        <v>2011</v>
      </c>
      <c r="H21" s="10">
        <v>2</v>
      </c>
      <c r="I21" s="10">
        <v>1</v>
      </c>
      <c r="J21" s="8" t="s">
        <v>14</v>
      </c>
      <c r="K21" s="65">
        <f t="shared" si="2"/>
        <v>875</v>
      </c>
      <c r="L21" s="11">
        <v>875</v>
      </c>
      <c r="M21" s="9">
        <f t="shared" si="0"/>
        <v>1.371473354231975</v>
      </c>
      <c r="N21" s="9" t="s">
        <v>17</v>
      </c>
      <c r="O21" s="72">
        <v>0</v>
      </c>
      <c r="P21" s="77">
        <v>0</v>
      </c>
    </row>
    <row r="22" spans="2:17" s="4" customFormat="1" x14ac:dyDescent="0.2">
      <c r="B22" s="20">
        <f t="shared" si="1"/>
        <v>19</v>
      </c>
      <c r="C22" s="21" t="s">
        <v>29</v>
      </c>
      <c r="D22" s="82" t="s">
        <v>65</v>
      </c>
      <c r="E22" s="12">
        <v>1065</v>
      </c>
      <c r="F22" s="12">
        <f>(47*125)+(8*80)</f>
        <v>6515</v>
      </c>
      <c r="G22" s="15">
        <v>2012</v>
      </c>
      <c r="H22" s="10">
        <v>3</v>
      </c>
      <c r="I22" s="10">
        <v>2</v>
      </c>
      <c r="J22" s="8" t="s">
        <v>14</v>
      </c>
      <c r="K22" s="65">
        <f t="shared" si="2"/>
        <v>1200</v>
      </c>
      <c r="L22" s="11">
        <v>1200</v>
      </c>
      <c r="M22" s="9">
        <f t="shared" si="0"/>
        <v>1.1267605633802817</v>
      </c>
      <c r="N22" s="9" t="s">
        <v>17</v>
      </c>
      <c r="O22" s="71">
        <v>1853</v>
      </c>
      <c r="P22" s="77">
        <v>327486</v>
      </c>
    </row>
    <row r="23" spans="2:17" s="4" customFormat="1" x14ac:dyDescent="0.2">
      <c r="B23" s="20">
        <f t="shared" si="1"/>
        <v>20</v>
      </c>
      <c r="C23" s="21" t="s">
        <v>28</v>
      </c>
      <c r="D23" s="82" t="s">
        <v>65</v>
      </c>
      <c r="E23" s="12">
        <v>792</v>
      </c>
      <c r="F23" s="12"/>
      <c r="G23" s="15">
        <v>2012</v>
      </c>
      <c r="H23" s="10">
        <v>4</v>
      </c>
      <c r="I23" s="10">
        <v>1.5</v>
      </c>
      <c r="J23" s="8" t="s">
        <v>14</v>
      </c>
      <c r="K23" s="65">
        <f t="shared" si="2"/>
        <v>1400</v>
      </c>
      <c r="L23" s="11">
        <v>1400</v>
      </c>
      <c r="M23" s="9">
        <f t="shared" si="0"/>
        <v>1.7676767676767677</v>
      </c>
      <c r="N23" s="9" t="s">
        <v>17</v>
      </c>
      <c r="O23" s="71">
        <v>0</v>
      </c>
      <c r="P23" s="77">
        <v>0</v>
      </c>
    </row>
    <row r="24" spans="2:17" s="4" customFormat="1" x14ac:dyDescent="0.2">
      <c r="B24" s="20">
        <f t="shared" si="1"/>
        <v>21</v>
      </c>
      <c r="C24" s="21" t="s">
        <v>32</v>
      </c>
      <c r="D24" s="82" t="s">
        <v>65</v>
      </c>
      <c r="E24" s="12">
        <v>1570</v>
      </c>
      <c r="F24" s="12">
        <f>47*134</f>
        <v>6298</v>
      </c>
      <c r="G24" s="15">
        <v>2013</v>
      </c>
      <c r="H24" s="10">
        <v>3</v>
      </c>
      <c r="I24" s="10">
        <v>1</v>
      </c>
      <c r="J24" s="8" t="s">
        <v>14</v>
      </c>
      <c r="K24" s="65">
        <f t="shared" si="2"/>
        <v>1200</v>
      </c>
      <c r="L24" s="11">
        <v>1200</v>
      </c>
      <c r="M24" s="9">
        <f t="shared" si="0"/>
        <v>0.76433121019108285</v>
      </c>
      <c r="N24" s="9" t="s">
        <v>17</v>
      </c>
      <c r="O24" s="71">
        <v>455.16</v>
      </c>
      <c r="P24" s="77">
        <v>164684</v>
      </c>
    </row>
    <row r="25" spans="2:17" s="4" customFormat="1" x14ac:dyDescent="0.2">
      <c r="B25" s="20">
        <f t="shared" si="1"/>
        <v>22</v>
      </c>
      <c r="C25" s="21" t="s">
        <v>36</v>
      </c>
      <c r="D25" s="82" t="s">
        <v>67</v>
      </c>
      <c r="E25" s="12">
        <v>1226</v>
      </c>
      <c r="F25" s="12">
        <f>55*133</f>
        <v>7315</v>
      </c>
      <c r="G25" s="15">
        <v>2014</v>
      </c>
      <c r="H25" s="10">
        <v>3</v>
      </c>
      <c r="I25" s="10">
        <v>2</v>
      </c>
      <c r="J25" s="8" t="s">
        <v>14</v>
      </c>
      <c r="K25" s="65">
        <f t="shared" si="2"/>
        <v>1242</v>
      </c>
      <c r="L25" s="11">
        <v>1242</v>
      </c>
      <c r="M25" s="9">
        <f t="shared" si="0"/>
        <v>1.0130505709624795</v>
      </c>
      <c r="N25" s="9" t="s">
        <v>17</v>
      </c>
      <c r="O25" s="71">
        <v>797.11</v>
      </c>
      <c r="P25" s="77">
        <v>117075</v>
      </c>
    </row>
    <row r="26" spans="2:17" s="4" customFormat="1" x14ac:dyDescent="0.2">
      <c r="B26" s="20">
        <f t="shared" si="1"/>
        <v>23</v>
      </c>
      <c r="C26" s="21" t="s">
        <v>38</v>
      </c>
      <c r="D26" s="82" t="s">
        <v>65</v>
      </c>
      <c r="E26" s="12">
        <v>1426</v>
      </c>
      <c r="F26" s="12">
        <f>45*127</f>
        <v>5715</v>
      </c>
      <c r="G26" s="15">
        <v>2014</v>
      </c>
      <c r="H26" s="10">
        <v>3</v>
      </c>
      <c r="I26" s="10">
        <v>1</v>
      </c>
      <c r="J26" s="8" t="s">
        <v>40</v>
      </c>
      <c r="K26" s="65">
        <f t="shared" si="2"/>
        <v>800</v>
      </c>
      <c r="L26" s="11">
        <v>800</v>
      </c>
      <c r="M26" s="9">
        <f t="shared" si="0"/>
        <v>0.56100981767180924</v>
      </c>
      <c r="N26" s="9" t="s">
        <v>17</v>
      </c>
      <c r="O26" s="73">
        <v>668.29</v>
      </c>
      <c r="P26" s="77">
        <v>188464</v>
      </c>
      <c r="Q26" s="4" t="s">
        <v>6</v>
      </c>
    </row>
    <row r="27" spans="2:17" s="4" customFormat="1" x14ac:dyDescent="0.2">
      <c r="B27" s="20">
        <f t="shared" si="1"/>
        <v>24</v>
      </c>
      <c r="C27" s="21" t="s">
        <v>37</v>
      </c>
      <c r="D27" s="82" t="s">
        <v>65</v>
      </c>
      <c r="E27" s="12">
        <v>988</v>
      </c>
      <c r="F27" s="12"/>
      <c r="G27" s="15">
        <v>2014</v>
      </c>
      <c r="H27" s="10">
        <v>1</v>
      </c>
      <c r="I27" s="10">
        <v>1</v>
      </c>
      <c r="J27" s="8"/>
      <c r="K27" s="65">
        <f t="shared" si="2"/>
        <v>700</v>
      </c>
      <c r="L27" s="11">
        <v>700</v>
      </c>
      <c r="M27" s="9">
        <f t="shared" si="0"/>
        <v>0.708502024291498</v>
      </c>
      <c r="N27" s="9" t="s">
        <v>17</v>
      </c>
      <c r="O27" s="71"/>
      <c r="P27" s="79" t="s">
        <v>6</v>
      </c>
      <c r="Q27" s="4" t="s">
        <v>6</v>
      </c>
    </row>
    <row r="28" spans="2:17" s="4" customFormat="1" x14ac:dyDescent="0.2">
      <c r="B28" s="20">
        <f t="shared" si="1"/>
        <v>25</v>
      </c>
      <c r="C28" s="21" t="s">
        <v>56</v>
      </c>
      <c r="D28" s="82" t="s">
        <v>65</v>
      </c>
      <c r="E28" s="12">
        <v>1186</v>
      </c>
      <c r="F28" s="12">
        <v>4000</v>
      </c>
      <c r="G28" s="15">
        <v>2013</v>
      </c>
      <c r="H28" s="10">
        <v>3</v>
      </c>
      <c r="I28" s="10">
        <v>2</v>
      </c>
      <c r="J28" s="8">
        <v>1</v>
      </c>
      <c r="K28" s="65">
        <f t="shared" si="2"/>
        <v>1300</v>
      </c>
      <c r="L28" s="11">
        <v>1300</v>
      </c>
      <c r="M28" s="9">
        <f t="shared" si="0"/>
        <v>1.0961214165261384</v>
      </c>
      <c r="N28" s="9" t="s">
        <v>17</v>
      </c>
      <c r="O28" s="71">
        <v>1597.67</v>
      </c>
      <c r="P28" s="77">
        <v>168852</v>
      </c>
    </row>
    <row r="29" spans="2:17" s="4" customFormat="1" x14ac:dyDescent="0.2">
      <c r="B29" s="20">
        <f t="shared" si="1"/>
        <v>26</v>
      </c>
      <c r="C29" s="21" t="s">
        <v>59</v>
      </c>
      <c r="D29" s="82" t="s">
        <v>65</v>
      </c>
      <c r="E29" s="12">
        <v>2274</v>
      </c>
      <c r="F29" s="12">
        <f>50*124</f>
        <v>6200</v>
      </c>
      <c r="G29" s="15">
        <v>2014</v>
      </c>
      <c r="H29" s="10">
        <v>3</v>
      </c>
      <c r="I29" s="10">
        <v>2</v>
      </c>
      <c r="J29" s="8" t="s">
        <v>39</v>
      </c>
      <c r="K29" s="65">
        <f t="shared" si="2"/>
        <v>1000</v>
      </c>
      <c r="L29" s="11">
        <v>1000</v>
      </c>
      <c r="M29" s="9">
        <f t="shared" si="0"/>
        <v>0.43975373790677219</v>
      </c>
      <c r="N29" s="9" t="s">
        <v>17</v>
      </c>
      <c r="O29" s="73">
        <v>794.22</v>
      </c>
      <c r="P29" s="77">
        <v>186174</v>
      </c>
    </row>
    <row r="30" spans="2:17" s="4" customFormat="1" ht="17" thickBot="1" x14ac:dyDescent="0.25">
      <c r="B30" s="55">
        <f t="shared" si="1"/>
        <v>27</v>
      </c>
      <c r="C30" s="23" t="s">
        <v>64</v>
      </c>
      <c r="D30" s="84" t="s">
        <v>65</v>
      </c>
      <c r="E30" s="56">
        <v>1080</v>
      </c>
      <c r="F30" s="56">
        <f>50*103</f>
        <v>5150</v>
      </c>
      <c r="G30" s="18">
        <v>2012</v>
      </c>
      <c r="H30" s="57">
        <v>3</v>
      </c>
      <c r="I30" s="57">
        <v>2</v>
      </c>
      <c r="J30" s="58" t="s">
        <v>14</v>
      </c>
      <c r="K30" s="65">
        <f t="shared" si="2"/>
        <v>1250</v>
      </c>
      <c r="L30" s="19">
        <v>1250</v>
      </c>
      <c r="M30" s="59">
        <f t="shared" si="0"/>
        <v>1.1574074074074074</v>
      </c>
      <c r="N30" s="59" t="s">
        <v>17</v>
      </c>
      <c r="O30" s="74">
        <v>1378</v>
      </c>
      <c r="P30" s="80">
        <v>112174</v>
      </c>
    </row>
    <row r="31" spans="2:17" s="4" customFormat="1" ht="17" thickBot="1" x14ac:dyDescent="0.25">
      <c r="B31" s="43"/>
      <c r="C31" s="44" t="s">
        <v>34</v>
      </c>
      <c r="D31" s="85"/>
      <c r="E31" s="45">
        <f>SUM(E4:E30)</f>
        <v>36072</v>
      </c>
      <c r="F31" s="45">
        <f>SUM(F4:F30)</f>
        <v>134907</v>
      </c>
      <c r="G31" s="46"/>
      <c r="H31" s="47">
        <f>SUM(H4:H30)</f>
        <v>83</v>
      </c>
      <c r="I31" s="48">
        <f>SUM(I4:I30)</f>
        <v>44.5</v>
      </c>
      <c r="J31" s="48"/>
      <c r="K31" s="49">
        <f>SUM(K4:K30)</f>
        <v>30142</v>
      </c>
      <c r="L31" s="49">
        <f>SUM(L4:L30)</f>
        <v>30142</v>
      </c>
      <c r="M31" s="50">
        <f t="shared" si="0"/>
        <v>0.83560656464848082</v>
      </c>
      <c r="N31" s="51"/>
      <c r="O31" s="52">
        <f>SUM(O4:O30)</f>
        <v>22173.47</v>
      </c>
      <c r="P31" s="75">
        <f>SUM(P4:P30)</f>
        <v>3327590</v>
      </c>
    </row>
    <row r="33" spans="3:6" ht="17" thickBot="1" x14ac:dyDescent="0.25"/>
    <row r="34" spans="3:6" x14ac:dyDescent="0.2">
      <c r="C34" s="24" t="s">
        <v>58</v>
      </c>
      <c r="D34" s="86"/>
      <c r="E34" s="25">
        <f>K31*12</f>
        <v>361704</v>
      </c>
    </row>
    <row r="35" spans="3:6" x14ac:dyDescent="0.2">
      <c r="C35" s="26" t="s">
        <v>57</v>
      </c>
      <c r="D35" s="87"/>
      <c r="E35" s="27">
        <f>E34*0.03</f>
        <v>10851.119999999999</v>
      </c>
    </row>
    <row r="36" spans="3:6" x14ac:dyDescent="0.2">
      <c r="C36" s="26" t="s">
        <v>41</v>
      </c>
      <c r="D36" s="87"/>
      <c r="E36" s="27">
        <f>E34-E35</f>
        <v>350852.88</v>
      </c>
      <c r="F36" s="53" t="s">
        <v>6</v>
      </c>
    </row>
    <row r="37" spans="3:6" x14ac:dyDescent="0.2">
      <c r="C37" s="26" t="s">
        <v>42</v>
      </c>
      <c r="D37" s="87"/>
      <c r="E37" s="27">
        <f>20000</f>
        <v>20000</v>
      </c>
    </row>
    <row r="38" spans="3:6" x14ac:dyDescent="0.2">
      <c r="C38" s="26" t="s">
        <v>30</v>
      </c>
      <c r="D38" s="87"/>
      <c r="E38" s="28">
        <f>O31</f>
        <v>22173.47</v>
      </c>
    </row>
    <row r="39" spans="3:6" x14ac:dyDescent="0.2">
      <c r="C39" s="26" t="s">
        <v>61</v>
      </c>
      <c r="D39" s="87"/>
      <c r="E39" s="28">
        <v>6000</v>
      </c>
    </row>
    <row r="40" spans="3:6" x14ac:dyDescent="0.2">
      <c r="C40" s="26" t="s">
        <v>43</v>
      </c>
      <c r="D40" s="87"/>
      <c r="E40" s="28">
        <f>E34*0.05</f>
        <v>18085.2</v>
      </c>
    </row>
    <row r="41" spans="3:6" x14ac:dyDescent="0.2">
      <c r="C41" s="26" t="s">
        <v>44</v>
      </c>
      <c r="D41" s="87"/>
      <c r="E41" s="28">
        <f>SUM(E37:E40)</f>
        <v>66258.67</v>
      </c>
      <c r="F41" s="53" t="s">
        <v>6</v>
      </c>
    </row>
    <row r="42" spans="3:6" x14ac:dyDescent="0.2">
      <c r="C42" s="26" t="s">
        <v>45</v>
      </c>
      <c r="D42" s="87"/>
      <c r="E42" s="28">
        <f>E36-SUM(E37:E40)</f>
        <v>284594.21000000002</v>
      </c>
    </row>
    <row r="43" spans="3:6" x14ac:dyDescent="0.2">
      <c r="C43" s="26" t="s">
        <v>46</v>
      </c>
      <c r="D43" s="87"/>
      <c r="E43" s="28">
        <f>E42/0.08</f>
        <v>3557427.625</v>
      </c>
    </row>
    <row r="44" spans="3:6" ht="17" thickBot="1" x14ac:dyDescent="0.25">
      <c r="C44" s="30" t="s">
        <v>47</v>
      </c>
      <c r="D44" s="88"/>
      <c r="E44" s="31">
        <f>E43/TOTSFHOUSE</f>
        <v>98.62019364049678</v>
      </c>
    </row>
    <row r="45" spans="3:6" x14ac:dyDescent="0.2">
      <c r="C45" s="24" t="s">
        <v>48</v>
      </c>
      <c r="D45" s="86"/>
      <c r="E45" s="32">
        <v>3200000</v>
      </c>
    </row>
    <row r="46" spans="3:6" x14ac:dyDescent="0.2">
      <c r="C46" s="26" t="s">
        <v>47</v>
      </c>
      <c r="D46" s="87"/>
      <c r="E46" s="28">
        <f>E45/TOTSFHOUSE</f>
        <v>88.711465956974934</v>
      </c>
    </row>
    <row r="47" spans="3:6" ht="17" thickBot="1" x14ac:dyDescent="0.25">
      <c r="C47" s="30" t="s">
        <v>49</v>
      </c>
      <c r="D47" s="88"/>
      <c r="E47" s="35">
        <f>E42/E45</f>
        <v>8.8935690625000008E-2</v>
      </c>
    </row>
    <row r="48" spans="3:6" x14ac:dyDescent="0.2">
      <c r="C48" s="36" t="s">
        <v>53</v>
      </c>
      <c r="D48" s="89"/>
      <c r="E48" s="32">
        <f>E45*0.75</f>
        <v>2400000</v>
      </c>
      <c r="F48" s="4" t="s">
        <v>70</v>
      </c>
    </row>
    <row r="49" spans="2:17" s="4" customFormat="1" x14ac:dyDescent="0.2">
      <c r="B49" s="3"/>
      <c r="C49" s="41" t="s">
        <v>54</v>
      </c>
      <c r="D49" s="90"/>
      <c r="E49" s="42">
        <f>E45-E48</f>
        <v>800000</v>
      </c>
      <c r="G49" s="17"/>
      <c r="K49" s="3"/>
      <c r="L49" s="3"/>
      <c r="M49" s="3"/>
      <c r="N49" s="3"/>
      <c r="P49" s="13"/>
      <c r="Q49" s="5"/>
    </row>
    <row r="50" spans="2:17" x14ac:dyDescent="0.2">
      <c r="C50" s="37" t="s">
        <v>55</v>
      </c>
      <c r="D50" s="91"/>
      <c r="E50" s="38">
        <f>PMT(0.06,360,E48)</f>
        <v>-144000.00011175088</v>
      </c>
      <c r="F50" s="4">
        <f>(E42/E50)*-1</f>
        <v>1.9763486790218148</v>
      </c>
      <c r="G50" s="17" t="s">
        <v>52</v>
      </c>
    </row>
    <row r="51" spans="2:17" x14ac:dyDescent="0.2">
      <c r="C51" s="37" t="s">
        <v>51</v>
      </c>
      <c r="D51" s="91"/>
      <c r="E51" s="39">
        <f>E52/E49</f>
        <v>0.17574276236031142</v>
      </c>
      <c r="G51" s="17" t="s">
        <v>6</v>
      </c>
    </row>
    <row r="52" spans="2:17" s="5" customFormat="1" ht="17" thickBot="1" x14ac:dyDescent="0.25">
      <c r="B52" s="33"/>
      <c r="C52" s="40" t="s">
        <v>50</v>
      </c>
      <c r="D52" s="92"/>
      <c r="E52" s="29">
        <f>E42+E50</f>
        <v>140594.20988824914</v>
      </c>
      <c r="G52" s="34"/>
      <c r="K52" s="33"/>
      <c r="L52" s="33"/>
      <c r="M52" s="33"/>
      <c r="N52" s="33"/>
      <c r="P52" s="13"/>
    </row>
  </sheetData>
  <printOptions gridLines="1"/>
  <pageMargins left="0.2" right="0.2" top="0.75" bottom="0.75" header="0.3" footer="0.3"/>
  <pageSetup orientation="landscape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shine</dc:creator>
  <cp:lastModifiedBy>Microsoft Office User</cp:lastModifiedBy>
  <cp:lastPrinted>2013-01-23T16:05:48Z</cp:lastPrinted>
  <dcterms:created xsi:type="dcterms:W3CDTF">2009-08-17T17:13:25Z</dcterms:created>
  <dcterms:modified xsi:type="dcterms:W3CDTF">2017-11-15T19:52:06Z</dcterms:modified>
</cp:coreProperties>
</file>